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<sst xmlns="http://schemas.openxmlformats.org/spreadsheetml/2006/main" count="282" uniqueCount="240">
  <si>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</si>
  <si>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</si>
  <si>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</si>
  <si>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</si>
  <si>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</si>
  <si>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</si>
  <si>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</si>
  <si>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</si>
  <si>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</si>
  <si>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</si>
  <si>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</si>
  <si>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</si>
  <si>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</si>
  <si>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</si>
  <si>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4. PRIEDO_5_ priedelis. Įvesties koeficientai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</si>
  <si>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</si>
  <si>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</si>
  <si>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</si>
  <si>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</si>
  <si>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</si>
  <si>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</si>
  <si>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</si>
  <si>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</si>
  <si>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</si>
  <si>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</si>
  <si>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</si>
  <si>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</si>
  <si>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</si>
  <si>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</si>
  <si>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</si>
  <si>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</si>
  <si>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</si>
  <si>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</si>
  <si>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</si>
  <si>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</si>
  <si>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</si>
  <si>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</si>
  <si>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</si>
  <si>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</si>
  <si>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</si>
  <si>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</si>
  <si>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</si>
  <si>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</si>
  <si>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</si>
  <si>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</si>
  <si>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</si>
  <si>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</si>
  <si>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</si>
  <si>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</si>
  <si>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</si>
  <si>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</si>
  <si>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</si>
  <si>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</si>
  <si>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</si>
  <si>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</si>
  <si>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</si>
  <si>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</si>
  <si>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</si>
  <si>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</si>
  <si>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</si>
  <si>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</si>
  <si>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</si>
  <si>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</si>
  <si>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</si>
  <si>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</si>
  <si>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</si>
  <si>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</si>
  <si>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</si>
  <si>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</si>
  <si>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</si>
  <si>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</si>
  <si>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</si>
  <si>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</si>
  <si>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</si>
  <si>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</si>
  <si>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</si>
  <si>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</si>
  <si>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</si>
  <si>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</si>
  <si>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</si>
  <si>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</si>
  <si>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</si>
  <si>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</si>
  <si>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</si>
  <si>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</si>
  <si>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</si>
  <si>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</si>
  <si>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</si>
  <si>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</si>
  <si>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</si>
  <si>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</si>
  <si>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</si>
  <si>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</si>
  <si>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</si>
  <si>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</si>
  <si>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</si>
  <si>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</si>
  <si>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</si>
  <si>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</si>
  <si>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</si>
  <si>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</si>
  <si>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</si>
  <si>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</si>
  <si>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</si>
  <si>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</si>
  <si>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</si>
  <si>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</si>
  <si>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</si>
  <si>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</si>
  <si>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</si>
  <si>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</si>
  <si>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</si>
  <si>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</si>
  <si>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</si>
  <si>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</si>
  <si>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</si>
  <si>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</si>
  <si>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</si>
  <si>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</si>
  <si>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</si>
  <si>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</si>
  <si>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</si>
  <si>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</si>
  <si>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</si>
  <si>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</si>
  <si>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</si>
  <si>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</si>
  <si>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</si>
  <si>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</si>
  <si>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</si>
  <si>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</si>
  <si>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</si>
  <si>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</si>
  <si>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</si>
  <si>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</si>
  <si>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</si>
  <si>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</si>
  <si>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</si>
  <si>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</si>
  <si>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</si>
  <si>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</si>
  <si>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</si>
  <si>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</si>
  <si>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</si>
  <si>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</si>
  <si>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</si>
  <si>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</si>
  <si>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</si>
  <si>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</si>
  <si>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</si>
  <si>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</si>
  <si>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</si>
  <si>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</si>
  <si>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</si>
  <si>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</si>
  <si>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</si>
  <si>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</si>
  <si>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</si>
  <si>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</si>
  <si>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</si>
  <si>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</si>
  <si>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</si>
  <si>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</si>
  <si>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</si>
  <si>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</si>
  <si>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</si>
  <si>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</si>
  <si>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</si>
  <si>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</si>
  <si>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</si>
  <si>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</si>
  <si>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</si>
  <si>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</si>
  <si>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</si>
  <si>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</si>
  <si>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</si>
  <si>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</si>
  <si>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</si>
  <si>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</si>
  <si>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</si>
  <si>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</si>
  <si>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</si>
  <si>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</si>
  <si>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</si>
  <si>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</si>
  <si>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</si>
  <si>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</si>
  <si>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</si>
  <si>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</si>
  <si>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</si>
  <si>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</si>
  <si>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</si>
  <si>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</si>
  <si>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</si>
  <si>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</si>
  <si>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</si>
  <si>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</si>
  <si>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</si>
  <si>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</si>
  <si>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</si>
  <si>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</si>
  <si>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</si>
  <si>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</si>
  <si>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</si>
  <si>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</si>
  <si>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</si>
  <si>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</si>
  <si>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</si>
  <si>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</si>
  <si>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</si>
  <si>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</si>
  <si>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</si>
  <si>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t>Teršalo pavadinimas</t>
  </si>
  <si>
    <t>KD</t>
  </si>
  <si>
    <r>
      <t>KD</t>
    </r>
    <r>
      <rPr>
        <vertAlign val="subscript"/>
        <sz val="11"/>
        <rFont val="Times New Roman"/>
        <family val="1"/>
      </rPr>
      <t>10</t>
    </r>
  </si>
  <si>
    <r>
      <t>KD</t>
    </r>
    <r>
      <rPr>
        <vertAlign val="subscript"/>
        <sz val="11"/>
        <rFont val="Times New Roman"/>
        <family val="1"/>
      </rPr>
      <t>2,5</t>
    </r>
  </si>
  <si>
    <r>
      <t>NH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(Buildings)</t>
    </r>
  </si>
  <si>
    <r>
      <t>Emisijos koeficientas, EF</t>
    </r>
    <r>
      <rPr>
        <vertAlign val="subscript"/>
        <sz val="11"/>
        <rFont val="Times New Roman"/>
        <family val="1"/>
      </rPr>
      <t>teršalo</t>
    </r>
    <r>
      <rPr>
        <sz val="11"/>
        <rFont val="Times New Roman"/>
        <family val="1"/>
      </rPr>
      <t>, kg/gyv.</t>
    </r>
  </si>
  <si>
    <t>Nuoroda į EMEP/Corinair</t>
  </si>
  <si>
    <t>3-5 lentelė, psl.19</t>
  </si>
  <si>
    <t>3-4 lentelė, psl.18 (silosu šeriami)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</si>
  <si>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</si>
  <si>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</si>
  <si>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, kg (AAP·EF</t>
    </r>
    <r>
      <rPr>
        <vertAlign val="subscript"/>
        <sz val="10"/>
        <rFont val="Times New Roman"/>
        <family val="1"/>
      </rPr>
      <t>teršalo</t>
    </r>
    <r>
      <rPr>
        <sz val="10"/>
        <rFont val="Times New Roman"/>
        <family val="1"/>
      </rPr>
      <t>·n)</t>
    </r>
  </si>
  <si>
    <t>Kadangi iš 13-1 tvarto (606 t.š.) į orą pateks teršalai tiek nuo laikomų veršelių ir telyčių, tiek ir nuo apvaisintų telyčių.</t>
  </si>
  <si>
    <t>Sumuojami teršalš kiekiai, apskaičiuoti 2 ir 3 prieduose</t>
  </si>
  <si>
    <t>Apvaisintų telyčių skaičius, AAP</t>
  </si>
  <si>
    <t>Gyvulių kategorija/Teršalo pavadinimas</t>
  </si>
  <si>
    <t>Veršeliai ir telyčios nuo 6 iki 15 mėn</t>
  </si>
  <si>
    <t>Veršeliai ir telyčios nuo 15 iki 24 mėn</t>
  </si>
  <si>
    <r>
      <t>KD, KD10, KD2,5, LOJ, 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apskaičiavimas. Momentinės ir metinės taršos (g/s) skaičiavimas iš 606 t.š.</t>
    </r>
  </si>
  <si>
    <t>LOJ (šeriami silosu)</t>
  </si>
  <si>
    <t>Viso, kg/metus</t>
  </si>
  <si>
    <t>606 t.š.</t>
  </si>
  <si>
    <t>Viso, kg/metus vienam iš 9 t.š.</t>
  </si>
  <si>
    <t xml:space="preserve">LOJ </t>
  </si>
  <si>
    <t>Kadangi iš 13-1 tvarto teršalai į aplinkos orą patenka per 9 ortakius, tai iš kiekvieno t.š. teršalų išsiskirs po lygiai:</t>
  </si>
  <si>
    <r>
      <t>Tarša, g/s (E</t>
    </r>
    <r>
      <rPr>
        <vertAlign val="subscript"/>
        <sz val="12"/>
        <color indexed="62"/>
        <rFont val="Times New Roman"/>
        <family val="1"/>
      </rPr>
      <t>teršalo</t>
    </r>
    <r>
      <rPr>
        <sz val="12"/>
        <color indexed="62"/>
        <rFont val="Times New Roman"/>
        <family val="1"/>
      </rPr>
      <t>·10</t>
    </r>
    <r>
      <rPr>
        <vertAlign val="superscript"/>
        <sz val="12"/>
        <color indexed="62"/>
        <rFont val="Times New Roman"/>
        <family val="1"/>
      </rPr>
      <t>3</t>
    </r>
    <r>
      <rPr>
        <sz val="12"/>
        <color indexed="62"/>
        <rFont val="Times New Roman"/>
        <family val="1"/>
      </rPr>
      <t>: D:24:3600)</t>
    </r>
  </si>
  <si>
    <t>LOJ(šeriami silosu)</t>
  </si>
  <si>
    <t>Panaudujus probiotikus NH3 koncentracija vidutiniškai sumažėja nuo 6 ppm iki 0,5, t.y.12 kartų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</si>
</sst>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00"/>
    <numFmt numFmtId="178" formatCode="0.00000000"/>
    <numFmt numFmtId="179" formatCode="0.0000000"/>
  </numFmts>
  <fonts count="81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2"/>
      <color indexed="62"/>
      <name val="Times New Roman"/>
      <family val="1"/>
    </font>
    <font>
      <sz val="12"/>
      <color indexed="62"/>
      <name val="Times New Roman"/>
      <family val="1"/>
    </font>
    <font>
      <vertAlign val="superscript"/>
      <sz val="12"/>
      <color indexed="62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sz val="12"/>
      <color indexed="62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2"/>
      <color rgb="FF7030A0"/>
      <name val="Times New Roman"/>
      <family val="1"/>
    </font>
    <font>
      <sz val="12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2" borderId="4" applyNumberFormat="0" applyAlignment="0" applyProtection="0"/>
    <xf numFmtId="0" fontId="72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3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0" fillId="35" borderId="0" xfId="0" applyFont="1" applyFill="1" applyAlignment="1">
      <alignment wrapText="1"/>
    </xf>
    <xf numFmtId="0" fontId="10" fillId="33" borderId="0" xfId="0" applyFont="1" applyFill="1" applyAlignment="1">
      <alignment/>
    </xf>
    <xf numFmtId="172" fontId="10" fillId="0" borderId="0" xfId="0" applyNumberFormat="1" applyFont="1" applyAlignment="1">
      <alignment/>
    </xf>
    <xf numFmtId="0" fontId="10" fillId="37" borderId="0" xfId="0" applyFont="1" applyFill="1" applyAlignment="1">
      <alignment wrapText="1"/>
    </xf>
    <xf numFmtId="172" fontId="10" fillId="0" borderId="0" xfId="0" applyNumberFormat="1" applyFont="1" applyFill="1" applyAlignment="1">
      <alignment/>
    </xf>
    <xf numFmtId="0" fontId="15" fillId="0" borderId="0" xfId="0" applyFont="1" applyAlignment="1">
      <alignment wrapText="1"/>
    </xf>
    <xf numFmtId="173" fontId="15" fillId="0" borderId="0" xfId="0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10" fillId="37" borderId="0" xfId="0" applyFont="1" applyFill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8" borderId="0" xfId="0" applyFont="1" applyFill="1" applyAlignment="1">
      <alignment horizontal="left" vertical="center"/>
    </xf>
    <xf numFmtId="172" fontId="19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1" fillId="0" borderId="0" xfId="0" applyNumberFormat="1" applyFont="1" applyFill="1" applyAlignment="1">
      <alignment vertical="top"/>
    </xf>
    <xf numFmtId="173" fontId="11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vertical="top"/>
    </xf>
    <xf numFmtId="0" fontId="19" fillId="0" borderId="0" xfId="0" applyFont="1" applyAlignment="1">
      <alignment vertical="top" wrapText="1"/>
    </xf>
    <xf numFmtId="1" fontId="23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2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173" fontId="22" fillId="0" borderId="0" xfId="0" applyNumberFormat="1" applyFont="1" applyAlignment="1">
      <alignment/>
    </xf>
    <xf numFmtId="2" fontId="10" fillId="35" borderId="0" xfId="0" applyNumberFormat="1" applyFont="1" applyFill="1" applyAlignment="1">
      <alignment/>
    </xf>
    <xf numFmtId="173" fontId="10" fillId="33" borderId="0" xfId="0" applyNumberFormat="1" applyFont="1" applyFill="1" applyAlignment="1">
      <alignment/>
    </xf>
    <xf numFmtId="0" fontId="28" fillId="39" borderId="0" xfId="0" applyFont="1" applyFill="1" applyAlignment="1">
      <alignment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173" fontId="30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Alignment="1">
      <alignment/>
    </xf>
    <xf numFmtId="1" fontId="10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/>
    </xf>
    <xf numFmtId="173" fontId="15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top"/>
    </xf>
    <xf numFmtId="2" fontId="37" fillId="0" borderId="0" xfId="0" applyNumberFormat="1" applyFont="1" applyFill="1" applyAlignment="1">
      <alignment vertical="top"/>
    </xf>
    <xf numFmtId="173" fontId="37" fillId="0" borderId="0" xfId="0" applyNumberFormat="1" applyFont="1" applyFill="1" applyAlignment="1">
      <alignment vertical="top"/>
    </xf>
    <xf numFmtId="1" fontId="37" fillId="0" borderId="0" xfId="0" applyNumberFormat="1" applyFont="1" applyFill="1" applyAlignment="1">
      <alignment vertical="top"/>
    </xf>
    <xf numFmtId="0" fontId="37" fillId="0" borderId="0" xfId="0" applyFont="1" applyFill="1" applyAlignment="1">
      <alignment vertical="center" wrapText="1"/>
    </xf>
    <xf numFmtId="1" fontId="37" fillId="0" borderId="0" xfId="0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/>
    </xf>
    <xf numFmtId="17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172" fontId="35" fillId="0" borderId="0" xfId="0" applyNumberFormat="1" applyFont="1" applyFill="1" applyAlignment="1">
      <alignment horizontal="right" vertical="center"/>
    </xf>
    <xf numFmtId="175" fontId="35" fillId="0" borderId="0" xfId="0" applyNumberFormat="1" applyFont="1" applyFill="1" applyAlignment="1">
      <alignment horizontal="right" vertical="center"/>
    </xf>
    <xf numFmtId="172" fontId="37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172" fontId="31" fillId="0" borderId="14" xfId="0" applyNumberFormat="1" applyFont="1" applyFill="1" applyBorder="1" applyAlignment="1">
      <alignment/>
    </xf>
    <xf numFmtId="172" fontId="31" fillId="0" borderId="15" xfId="0" applyNumberFormat="1" applyFont="1" applyFill="1" applyBorder="1" applyAlignment="1">
      <alignment/>
    </xf>
    <xf numFmtId="0" fontId="79" fillId="0" borderId="16" xfId="0" applyFont="1" applyFill="1" applyBorder="1" applyAlignment="1">
      <alignment vertical="center"/>
    </xf>
    <xf numFmtId="175" fontId="80" fillId="0" borderId="17" xfId="0" applyNumberFormat="1" applyFont="1" applyFill="1" applyBorder="1" applyAlignment="1">
      <alignment/>
    </xf>
    <xf numFmtId="175" fontId="80" fillId="0" borderId="18" xfId="0" applyNumberFormat="1" applyFont="1" applyFill="1" applyBorder="1" applyAlignment="1">
      <alignment/>
    </xf>
    <xf numFmtId="0" fontId="31" fillId="0" borderId="19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U22" sqref="U22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Q1" s="6" t="s">
        <v>14</v>
      </c>
    </row>
    <row r="2" spans="2:31" s="7" customFormat="1" ht="65.25" customHeight="1"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9"/>
      <c r="J2" s="8" t="s">
        <v>22</v>
      </c>
      <c r="K2" s="8" t="s">
        <v>23</v>
      </c>
      <c r="L2" s="8" t="s">
        <v>24</v>
      </c>
      <c r="M2" s="8" t="s">
        <v>25</v>
      </c>
      <c r="N2" s="8" t="s">
        <v>26</v>
      </c>
      <c r="O2" s="8" t="s">
        <v>27</v>
      </c>
      <c r="P2" s="8" t="s">
        <v>28</v>
      </c>
      <c r="Q2" s="8" t="s">
        <v>29</v>
      </c>
      <c r="R2" s="8" t="s">
        <v>30</v>
      </c>
      <c r="S2" s="8" t="s">
        <v>31</v>
      </c>
      <c r="T2" s="8" t="s">
        <v>32</v>
      </c>
      <c r="U2" s="8" t="s">
        <v>33</v>
      </c>
      <c r="V2" s="8" t="s">
        <v>34</v>
      </c>
      <c r="W2" s="8" t="s">
        <v>35</v>
      </c>
      <c r="X2" s="8" t="s">
        <v>36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0" t="s">
        <v>37</v>
      </c>
      <c r="B3" s="11" t="s">
        <v>38</v>
      </c>
      <c r="C3" s="12">
        <v>105</v>
      </c>
      <c r="D3" s="12">
        <v>0.6</v>
      </c>
      <c r="E3" s="12">
        <v>1500</v>
      </c>
      <c r="F3" s="13">
        <f aca="true" t="shared" si="0" ref="F3:F16">E3*0.004</f>
        <v>6</v>
      </c>
      <c r="G3" s="14">
        <v>365</v>
      </c>
      <c r="H3" s="15">
        <v>0</v>
      </c>
      <c r="I3" s="12"/>
      <c r="J3" s="12">
        <v>0.2</v>
      </c>
      <c r="K3" s="12">
        <v>0.19</v>
      </c>
      <c r="L3" s="12">
        <v>0.3</v>
      </c>
      <c r="M3" s="12">
        <v>0.2</v>
      </c>
      <c r="N3" s="12">
        <v>0.27</v>
      </c>
      <c r="O3" s="12">
        <v>0.01</v>
      </c>
      <c r="P3" s="12">
        <v>0.02</v>
      </c>
      <c r="Q3" s="12">
        <v>0.0001</v>
      </c>
      <c r="R3" s="12">
        <v>0.01</v>
      </c>
      <c r="S3" s="12">
        <v>0.003</v>
      </c>
      <c r="T3" s="12">
        <v>0.3</v>
      </c>
      <c r="U3" s="12">
        <v>0</v>
      </c>
      <c r="V3" s="12">
        <v>0.55</v>
      </c>
      <c r="W3" s="12">
        <v>0.79</v>
      </c>
      <c r="X3" s="12">
        <v>0.1</v>
      </c>
      <c r="Y3" s="12"/>
    </row>
    <row r="4" spans="1:25" s="7" customFormat="1" ht="11.25">
      <c r="A4" s="16" t="s">
        <v>39</v>
      </c>
      <c r="B4" s="17" t="s">
        <v>40</v>
      </c>
      <c r="C4" s="18">
        <v>41</v>
      </c>
      <c r="D4" s="18">
        <v>0.6</v>
      </c>
      <c r="E4" s="18">
        <v>500</v>
      </c>
      <c r="F4" s="19">
        <f t="shared" si="0"/>
        <v>2</v>
      </c>
      <c r="G4" s="17">
        <v>365</v>
      </c>
      <c r="H4" s="20">
        <v>0</v>
      </c>
      <c r="I4" s="18"/>
      <c r="J4" s="18">
        <v>0.2</v>
      </c>
      <c r="K4" s="18">
        <v>0.19</v>
      </c>
      <c r="L4" s="18">
        <v>0.53</v>
      </c>
      <c r="M4" s="18">
        <v>0.2</v>
      </c>
      <c r="N4" s="18">
        <v>0.27</v>
      </c>
      <c r="O4" s="18">
        <v>0.01</v>
      </c>
      <c r="P4" s="18">
        <v>0.02</v>
      </c>
      <c r="Q4" s="18">
        <v>0.0001</v>
      </c>
      <c r="R4" s="18">
        <v>0.01</v>
      </c>
      <c r="S4" s="18">
        <v>0.003</v>
      </c>
      <c r="T4" s="18">
        <v>0.3</v>
      </c>
      <c r="U4" s="18">
        <v>0</v>
      </c>
      <c r="V4" s="18">
        <v>0.55</v>
      </c>
      <c r="W4" s="18">
        <v>0.79</v>
      </c>
      <c r="X4" s="18">
        <v>0.6</v>
      </c>
      <c r="Y4" s="12"/>
    </row>
    <row r="5" spans="1:25" s="7" customFormat="1" ht="11.25">
      <c r="A5" s="7" t="s">
        <v>41</v>
      </c>
      <c r="B5" s="14" t="s">
        <v>42</v>
      </c>
      <c r="C5" s="12">
        <v>12.1</v>
      </c>
      <c r="D5" s="12">
        <v>0.7</v>
      </c>
      <c r="E5" s="12">
        <v>200</v>
      </c>
      <c r="F5" s="13">
        <f t="shared" si="0"/>
        <v>0.8</v>
      </c>
      <c r="G5" s="14">
        <v>365</v>
      </c>
      <c r="H5" s="15">
        <v>0</v>
      </c>
      <c r="I5" s="12"/>
      <c r="J5" s="12">
        <v>0.28</v>
      </c>
      <c r="K5" s="12">
        <v>0.27</v>
      </c>
      <c r="L5" s="12">
        <v>0</v>
      </c>
      <c r="M5" s="12">
        <v>0.14</v>
      </c>
      <c r="N5" s="12">
        <v>0.45</v>
      </c>
      <c r="O5" s="12">
        <v>0</v>
      </c>
      <c r="P5" s="12">
        <v>0.05</v>
      </c>
      <c r="Q5" s="12">
        <v>0.0001</v>
      </c>
      <c r="R5" s="12">
        <v>0.008</v>
      </c>
      <c r="S5" s="12">
        <v>0.003</v>
      </c>
      <c r="T5" s="12">
        <v>0.3</v>
      </c>
      <c r="U5" s="12">
        <v>0</v>
      </c>
      <c r="V5" s="12">
        <v>0.4</v>
      </c>
      <c r="W5" s="12">
        <v>0.81</v>
      </c>
      <c r="X5" s="12">
        <v>0</v>
      </c>
      <c r="Y5" s="12"/>
    </row>
    <row r="6" spans="1:25" s="7" customFormat="1" ht="11.25">
      <c r="A6" s="7" t="s">
        <v>43</v>
      </c>
      <c r="B6" s="14" t="s">
        <v>44</v>
      </c>
      <c r="C6" s="12">
        <v>34.5</v>
      </c>
      <c r="D6" s="12">
        <v>0.7</v>
      </c>
      <c r="E6" s="12">
        <v>600</v>
      </c>
      <c r="F6" s="13">
        <f t="shared" si="0"/>
        <v>2.4</v>
      </c>
      <c r="G6" s="14">
        <v>365</v>
      </c>
      <c r="H6" s="15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7" customFormat="1" ht="11.25">
      <c r="A7" s="7" t="s">
        <v>45</v>
      </c>
      <c r="B7" s="14" t="s">
        <v>46</v>
      </c>
      <c r="C7" s="12">
        <v>15.5</v>
      </c>
      <c r="D7" s="12">
        <v>0.5</v>
      </c>
      <c r="E7" s="12">
        <v>20</v>
      </c>
      <c r="F7" s="13">
        <f t="shared" si="0"/>
        <v>0.08</v>
      </c>
      <c r="G7" s="14">
        <v>30</v>
      </c>
      <c r="H7" s="15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7" customFormat="1" ht="11.25">
      <c r="A8" s="7" t="s">
        <v>47</v>
      </c>
      <c r="B8" s="14" t="s">
        <v>48</v>
      </c>
      <c r="C8" s="12">
        <v>47.5</v>
      </c>
      <c r="D8" s="12">
        <v>0.6</v>
      </c>
      <c r="E8" s="12">
        <v>500</v>
      </c>
      <c r="F8" s="13">
        <f t="shared" si="0"/>
        <v>2</v>
      </c>
      <c r="G8" s="14">
        <v>180</v>
      </c>
      <c r="H8" s="1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7" customFormat="1" ht="11.25">
      <c r="A9" s="7" t="s">
        <v>49</v>
      </c>
      <c r="B9" s="21" t="s">
        <v>50</v>
      </c>
      <c r="C9" s="22">
        <v>0.77</v>
      </c>
      <c r="D9" s="22">
        <v>0.7</v>
      </c>
      <c r="E9" s="22">
        <v>0</v>
      </c>
      <c r="F9" s="23">
        <f t="shared" si="0"/>
        <v>0</v>
      </c>
      <c r="G9" s="21">
        <v>365</v>
      </c>
      <c r="H9" s="24">
        <v>0</v>
      </c>
      <c r="I9" s="22"/>
      <c r="J9" s="22">
        <v>0.41</v>
      </c>
      <c r="K9" s="22">
        <v>0.41</v>
      </c>
      <c r="L9" s="22">
        <v>0</v>
      </c>
      <c r="M9" s="22">
        <v>0.14</v>
      </c>
      <c r="N9" s="22">
        <v>0.14</v>
      </c>
      <c r="O9" s="25">
        <v>0</v>
      </c>
      <c r="P9" s="22">
        <v>0.04</v>
      </c>
      <c r="Q9" s="22">
        <v>0.0001</v>
      </c>
      <c r="R9" s="22">
        <v>0.01</v>
      </c>
      <c r="S9" s="22">
        <v>0.003</v>
      </c>
      <c r="T9" s="22">
        <v>0.3</v>
      </c>
      <c r="U9" s="22">
        <v>0</v>
      </c>
      <c r="V9" s="22">
        <v>0.69</v>
      </c>
      <c r="W9" s="22">
        <v>0.69</v>
      </c>
      <c r="X9" s="22">
        <v>0</v>
      </c>
      <c r="Y9" s="12"/>
    </row>
    <row r="10" spans="1:25" s="7" customFormat="1" ht="11.25">
      <c r="A10" s="7" t="s">
        <v>51</v>
      </c>
      <c r="B10" s="14" t="s">
        <v>52</v>
      </c>
      <c r="C10" s="12">
        <v>0.36</v>
      </c>
      <c r="D10" s="12">
        <v>0.7</v>
      </c>
      <c r="E10" s="12">
        <v>0</v>
      </c>
      <c r="F10" s="13">
        <f t="shared" si="0"/>
        <v>0</v>
      </c>
      <c r="G10" s="14">
        <v>365</v>
      </c>
      <c r="H10" s="1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7" customFormat="1" ht="11.25">
      <c r="A11" s="7" t="s">
        <v>53</v>
      </c>
      <c r="B11" s="14" t="s">
        <v>54</v>
      </c>
      <c r="C11" s="12">
        <v>1.64</v>
      </c>
      <c r="D11" s="12">
        <v>0.7</v>
      </c>
      <c r="E11" s="12">
        <v>0</v>
      </c>
      <c r="F11" s="13">
        <f t="shared" si="0"/>
        <v>0</v>
      </c>
      <c r="G11" s="14">
        <v>365</v>
      </c>
      <c r="H11" s="1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7" customFormat="1" ht="11.25">
      <c r="A12" s="7" t="s">
        <v>55</v>
      </c>
      <c r="B12" s="14" t="s">
        <v>56</v>
      </c>
      <c r="C12" s="12">
        <v>1.26</v>
      </c>
      <c r="D12" s="12">
        <v>0.7</v>
      </c>
      <c r="E12" s="12">
        <v>0</v>
      </c>
      <c r="F12" s="13">
        <f t="shared" si="0"/>
        <v>0</v>
      </c>
      <c r="G12" s="14">
        <v>365</v>
      </c>
      <c r="H12" s="1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7" customFormat="1" ht="11.25">
      <c r="A13" s="7" t="s">
        <v>57</v>
      </c>
      <c r="B13" s="14" t="s">
        <v>58</v>
      </c>
      <c r="C13" s="12">
        <v>0.55</v>
      </c>
      <c r="D13" s="12">
        <v>0.7</v>
      </c>
      <c r="E13" s="12">
        <v>0</v>
      </c>
      <c r="F13" s="13">
        <f t="shared" si="0"/>
        <v>0</v>
      </c>
      <c r="G13" s="14">
        <v>365</v>
      </c>
      <c r="H13" s="1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7" customFormat="1" ht="11.25">
      <c r="A14" s="7" t="s">
        <v>59</v>
      </c>
      <c r="B14" s="14" t="s">
        <v>60</v>
      </c>
      <c r="C14" s="12">
        <v>0.08</v>
      </c>
      <c r="D14" s="12">
        <v>0.6</v>
      </c>
      <c r="E14" s="12">
        <v>0</v>
      </c>
      <c r="F14" s="13">
        <f t="shared" si="0"/>
        <v>0</v>
      </c>
      <c r="G14" s="14">
        <v>365</v>
      </c>
      <c r="H14" s="1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7" customFormat="1" ht="11.25">
      <c r="A15" s="7" t="s">
        <v>61</v>
      </c>
      <c r="B15" s="14" t="s">
        <v>62</v>
      </c>
      <c r="C15" s="12"/>
      <c r="D15" s="12"/>
      <c r="E15" s="12">
        <v>0</v>
      </c>
      <c r="F15" s="13">
        <f t="shared" si="0"/>
        <v>0</v>
      </c>
      <c r="G15" s="14">
        <v>365</v>
      </c>
      <c r="H15" s="15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7" customFormat="1" ht="11.25">
      <c r="A16" s="26" t="s">
        <v>63</v>
      </c>
      <c r="B16" s="14" t="s">
        <v>64</v>
      </c>
      <c r="C16" s="12">
        <v>82</v>
      </c>
      <c r="D16" s="12">
        <v>0.5</v>
      </c>
      <c r="E16" s="12">
        <v>1500</v>
      </c>
      <c r="F16" s="13">
        <f t="shared" si="0"/>
        <v>6</v>
      </c>
      <c r="G16" s="14">
        <v>225</v>
      </c>
      <c r="H16" s="15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2:25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2.75">
      <c r="B19" s="14" t="s">
        <v>65</v>
      </c>
      <c r="C19" s="27" t="s">
        <v>66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19.25" customHeight="1">
      <c r="B21" s="27"/>
      <c r="C21" s="27"/>
      <c r="D21" s="27"/>
      <c r="E21" s="28" t="s">
        <v>67</v>
      </c>
      <c r="F21" s="29" t="s">
        <v>68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2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12.7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12.7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48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34">
      <selection activeCell="E62" sqref="E62"/>
    </sheetView>
  </sheetViews>
  <sheetFormatPr defaultColWidth="9.140625" defaultRowHeight="12.75"/>
  <cols>
    <col min="1" max="1" width="21.8515625" style="30" customWidth="1"/>
    <col min="2" max="2" width="20.7109375" style="31" customWidth="1"/>
    <col min="3" max="3" width="13.8515625" style="31" customWidth="1"/>
    <col min="4" max="4" width="10.140625" style="31" customWidth="1"/>
    <col min="5" max="5" width="12.00390625" style="31" customWidth="1"/>
    <col min="6" max="6" width="9.57421875" style="31" customWidth="1"/>
    <col min="7" max="7" width="7.28125" style="31" customWidth="1"/>
    <col min="8" max="8" width="16.7109375" style="32" customWidth="1"/>
    <col min="9" max="12" width="9.140625" style="31" customWidth="1"/>
    <col min="13" max="13" width="10.00390625" style="31" customWidth="1"/>
    <col min="14" max="17" width="9.140625" style="31" customWidth="1"/>
    <col min="18" max="19" width="9.421875" style="31" customWidth="1"/>
    <col min="20" max="16384" width="9.140625" style="31" customWidth="1"/>
  </cols>
  <sheetData>
    <row r="1" spans="1:7" s="33" customFormat="1" ht="30.75" customHeight="1">
      <c r="A1" s="151" t="s">
        <v>69</v>
      </c>
      <c r="B1" s="151"/>
      <c r="C1" s="151"/>
      <c r="D1" s="151"/>
      <c r="E1" s="151"/>
      <c r="F1" s="151"/>
      <c r="G1" s="151"/>
    </row>
    <row r="2" ht="15">
      <c r="A2" s="34"/>
    </row>
    <row r="3" spans="1:19" ht="29.25">
      <c r="A3" s="34" t="s">
        <v>70</v>
      </c>
      <c r="B3" s="30" t="s">
        <v>71</v>
      </c>
      <c r="C3" s="35">
        <v>378</v>
      </c>
      <c r="R3" s="30"/>
      <c r="S3" s="30"/>
    </row>
    <row r="4" spans="2:19" ht="15">
      <c r="B4" s="31" t="s">
        <v>72</v>
      </c>
      <c r="C4" s="36">
        <f>Standards!C4</f>
        <v>41</v>
      </c>
      <c r="R4" s="37"/>
      <c r="S4" s="37"/>
    </row>
    <row r="5" spans="2:3" ht="15">
      <c r="B5" s="31" t="s">
        <v>73</v>
      </c>
      <c r="C5" s="36">
        <f>Standards!D4*100</f>
        <v>60</v>
      </c>
    </row>
    <row r="6" spans="2:3" ht="15">
      <c r="B6" s="31" t="s">
        <v>74</v>
      </c>
      <c r="C6" s="36">
        <f>Standards!G4</f>
        <v>365</v>
      </c>
    </row>
    <row r="7" spans="2:3" ht="15">
      <c r="B7" s="30" t="s">
        <v>75</v>
      </c>
      <c r="C7" s="36">
        <f>Standards!H4</f>
        <v>0</v>
      </c>
    </row>
    <row r="9" ht="15">
      <c r="A9" s="34" t="s">
        <v>76</v>
      </c>
    </row>
    <row r="10" spans="1:3" ht="15">
      <c r="A10" s="38" t="s">
        <v>77</v>
      </c>
      <c r="B10" s="31" t="s">
        <v>78</v>
      </c>
      <c r="C10" s="39">
        <f>Number_of_livestock*N_Excretion*(365-Housed_period__days)/365*(100-excreta_on_yards)/100</f>
        <v>0</v>
      </c>
    </row>
    <row r="11" spans="1:3" ht="15">
      <c r="A11" s="38" t="s">
        <v>79</v>
      </c>
      <c r="B11" s="31" t="s">
        <v>80</v>
      </c>
      <c r="C11" s="39">
        <f>Number_of_livestock*N_Excretion*excreta_on_yards/100</f>
        <v>0</v>
      </c>
    </row>
    <row r="12" spans="1:3" ht="15">
      <c r="A12" s="38" t="s">
        <v>81</v>
      </c>
      <c r="B12" s="31" t="s">
        <v>82</v>
      </c>
      <c r="C12" s="39">
        <f>C3*C4*(C6/365)*(100-C7)/100</f>
        <v>15498</v>
      </c>
    </row>
    <row r="13" spans="1:3" ht="15">
      <c r="A13" s="30" t="s">
        <v>83</v>
      </c>
      <c r="C13" s="39">
        <f>m_yard+m_graz+m_hous</f>
        <v>15498</v>
      </c>
    </row>
    <row r="14" spans="1:3" ht="15">
      <c r="A14" s="40" t="s">
        <v>84</v>
      </c>
      <c r="B14" s="40"/>
      <c r="C14" s="41">
        <f>(C3*C4)-C13</f>
        <v>0</v>
      </c>
    </row>
    <row r="15" ht="15"/>
    <row r="16" spans="1:8" s="33" customFormat="1" ht="33" customHeight="1">
      <c r="A16" s="151" t="s">
        <v>85</v>
      </c>
      <c r="B16" s="151"/>
      <c r="C16" s="151"/>
      <c r="D16" s="151"/>
      <c r="E16" s="151"/>
      <c r="F16" s="151"/>
      <c r="G16" s="151"/>
      <c r="H16" s="42"/>
    </row>
    <row r="17" ht="15">
      <c r="A17" s="34" t="s">
        <v>86</v>
      </c>
    </row>
    <row r="18" spans="1:5" ht="15">
      <c r="A18" s="43" t="s">
        <v>87</v>
      </c>
      <c r="B18" s="31" t="s">
        <v>88</v>
      </c>
      <c r="C18" s="39">
        <f>C10*$C$5/100</f>
        <v>0</v>
      </c>
      <c r="D18" s="31" t="s">
        <v>78</v>
      </c>
      <c r="E18" s="39">
        <f>m_graz</f>
        <v>0</v>
      </c>
    </row>
    <row r="19" spans="1:5" ht="15">
      <c r="A19" s="43" t="s">
        <v>89</v>
      </c>
      <c r="B19" s="31" t="s">
        <v>90</v>
      </c>
      <c r="C19" s="39">
        <f>C11*$C$5/100</f>
        <v>0</v>
      </c>
      <c r="D19" s="31" t="s">
        <v>80</v>
      </c>
      <c r="E19" s="39">
        <f>m_yard</f>
        <v>0</v>
      </c>
    </row>
    <row r="20" spans="1:5" ht="15">
      <c r="A20" s="43" t="s">
        <v>91</v>
      </c>
      <c r="B20" s="31" t="s">
        <v>92</v>
      </c>
      <c r="C20" s="39">
        <f>C12*$C$5/100</f>
        <v>9298.8</v>
      </c>
      <c r="D20" s="31" t="s">
        <v>82</v>
      </c>
      <c r="E20" s="39">
        <f>m_hous</f>
        <v>15498</v>
      </c>
    </row>
    <row r="21" spans="1:5" ht="15">
      <c r="A21" s="30" t="s">
        <v>83</v>
      </c>
      <c r="C21" s="39">
        <f>C19+C18+C20</f>
        <v>9298.8</v>
      </c>
      <c r="D21" s="44"/>
      <c r="E21" s="39">
        <f>E19+E18+E20</f>
        <v>15498</v>
      </c>
    </row>
    <row r="22" spans="1:5" ht="15">
      <c r="A22" s="40" t="s">
        <v>84</v>
      </c>
      <c r="C22" s="41">
        <f>(C13*C5/100)-C21</f>
        <v>0</v>
      </c>
      <c r="D22" s="45"/>
      <c r="E22" s="41">
        <f>C13-E21</f>
        <v>0</v>
      </c>
    </row>
    <row r="23" ht="15"/>
    <row r="24" spans="1:14" s="33" customFormat="1" ht="12.75" customHeight="1">
      <c r="A24" s="151" t="s">
        <v>93</v>
      </c>
      <c r="B24" s="151"/>
      <c r="C24" s="151"/>
      <c r="D24" s="151"/>
      <c r="E24" s="151"/>
      <c r="F24" s="151"/>
      <c r="G24" s="151"/>
      <c r="H24" s="46"/>
      <c r="I24" s="47"/>
      <c r="J24" s="47"/>
      <c r="K24" s="47"/>
      <c r="L24" s="47"/>
      <c r="M24" s="47"/>
      <c r="N24" s="47"/>
    </row>
    <row r="25" spans="1:14" ht="15">
      <c r="A25" s="34" t="s">
        <v>86</v>
      </c>
      <c r="H25" s="48"/>
      <c r="I25" s="48"/>
      <c r="J25" s="48"/>
      <c r="K25" s="49"/>
      <c r="L25" s="48"/>
      <c r="M25" s="49"/>
      <c r="N25" s="50"/>
    </row>
    <row r="26" spans="2:14" ht="57.75">
      <c r="B26" s="30" t="s">
        <v>94</v>
      </c>
      <c r="C26" s="51">
        <v>100</v>
      </c>
      <c r="D26" s="52" t="s">
        <v>95</v>
      </c>
      <c r="H26" s="46"/>
      <c r="I26" s="53"/>
      <c r="J26" s="50"/>
      <c r="K26" s="50"/>
      <c r="L26" s="50"/>
      <c r="M26" s="45"/>
      <c r="N26" s="54"/>
    </row>
    <row r="27" spans="2:14" ht="57.75">
      <c r="B27" s="30" t="s">
        <v>96</v>
      </c>
      <c r="C27" s="45">
        <v>0</v>
      </c>
      <c r="D27" s="52" t="s">
        <v>97</v>
      </c>
      <c r="H27" s="46"/>
      <c r="I27" s="53"/>
      <c r="J27" s="50"/>
      <c r="K27" s="50"/>
      <c r="L27" s="50"/>
      <c r="M27" s="45"/>
      <c r="N27" s="54"/>
    </row>
    <row r="28" spans="8:14" ht="15">
      <c r="H28" s="55"/>
      <c r="I28" s="56"/>
      <c r="J28" s="50"/>
      <c r="K28" s="50"/>
      <c r="L28" s="50"/>
      <c r="M28" s="45"/>
      <c r="N28" s="54"/>
    </row>
    <row r="29" spans="1:14" ht="15">
      <c r="A29" s="34" t="s">
        <v>76</v>
      </c>
      <c r="H29" s="55"/>
      <c r="I29" s="56"/>
      <c r="J29" s="57"/>
      <c r="K29" s="57"/>
      <c r="L29" s="56"/>
      <c r="M29" s="45"/>
      <c r="N29" s="54"/>
    </row>
    <row r="30" spans="1:14" ht="30.75">
      <c r="A30" s="38" t="s">
        <v>98</v>
      </c>
      <c r="B30" s="58" t="s">
        <v>99</v>
      </c>
      <c r="C30" s="59">
        <f>C20*C26/100</f>
        <v>9298.8</v>
      </c>
      <c r="D30" s="38" t="s">
        <v>100</v>
      </c>
      <c r="E30" s="58" t="s">
        <v>101</v>
      </c>
      <c r="F30" s="59">
        <f>E20*C26/100</f>
        <v>15498</v>
      </c>
      <c r="H30" s="55"/>
      <c r="I30" s="56"/>
      <c r="J30" s="57"/>
      <c r="K30" s="57"/>
      <c r="L30" s="56"/>
      <c r="M30" s="56"/>
      <c r="N30" s="54"/>
    </row>
    <row r="31" spans="1:14" ht="30.75">
      <c r="A31" s="38" t="s">
        <v>102</v>
      </c>
      <c r="B31" s="58" t="s">
        <v>103</v>
      </c>
      <c r="C31" s="59">
        <f>C20*C27/100</f>
        <v>0</v>
      </c>
      <c r="D31" s="38" t="s">
        <v>104</v>
      </c>
      <c r="E31" s="58" t="s">
        <v>105</v>
      </c>
      <c r="F31" s="59">
        <f>E20*C27/100</f>
        <v>0</v>
      </c>
      <c r="H31" s="55"/>
      <c r="I31" s="56"/>
      <c r="J31" s="50"/>
      <c r="K31" s="50"/>
      <c r="L31" s="50"/>
      <c r="M31" s="45"/>
      <c r="N31" s="54"/>
    </row>
    <row r="32" spans="1:14" ht="15">
      <c r="A32" s="30" t="s">
        <v>83</v>
      </c>
      <c r="B32" s="44"/>
      <c r="C32" s="60">
        <f>C31+C30</f>
        <v>9298.8</v>
      </c>
      <c r="D32" s="44" t="s">
        <v>106</v>
      </c>
      <c r="F32" s="60">
        <f>F31+F30</f>
        <v>15498</v>
      </c>
      <c r="H32" s="55"/>
      <c r="I32" s="56"/>
      <c r="J32" s="50"/>
      <c r="K32" s="50"/>
      <c r="L32" s="50"/>
      <c r="M32" s="45"/>
      <c r="N32" s="54"/>
    </row>
    <row r="33" spans="1:14" ht="15">
      <c r="A33" s="40" t="s">
        <v>84</v>
      </c>
      <c r="C33" s="41">
        <f>C20-C32</f>
        <v>0</v>
      </c>
      <c r="D33" s="61"/>
      <c r="E33" s="61"/>
      <c r="F33" s="41">
        <f>E20-F32</f>
        <v>0</v>
      </c>
      <c r="H33" s="55"/>
      <c r="I33" s="56"/>
      <c r="J33" s="50"/>
      <c r="K33" s="50"/>
      <c r="L33" s="50"/>
      <c r="M33" s="45"/>
      <c r="N33" s="54"/>
    </row>
    <row r="34" spans="1:14" ht="15">
      <c r="A34" s="62"/>
      <c r="H34" s="55"/>
      <c r="I34" s="56"/>
      <c r="J34" s="50"/>
      <c r="K34" s="50"/>
      <c r="L34" s="50"/>
      <c r="M34" s="45"/>
      <c r="N34" s="54"/>
    </row>
    <row r="35" spans="1:14" s="33" customFormat="1" ht="12.75" customHeight="1">
      <c r="A35" s="151" t="s">
        <v>107</v>
      </c>
      <c r="B35" s="151"/>
      <c r="C35" s="151"/>
      <c r="D35" s="151"/>
      <c r="E35" s="151"/>
      <c r="F35" s="151"/>
      <c r="G35" s="151"/>
      <c r="H35" s="46"/>
      <c r="I35" s="63"/>
      <c r="J35" s="64"/>
      <c r="K35" s="64"/>
      <c r="L35" s="65"/>
      <c r="M35" s="65"/>
      <c r="N35" s="65"/>
    </row>
    <row r="36" spans="1:14" s="33" customFormat="1" ht="15">
      <c r="A36" s="66"/>
      <c r="H36" s="46"/>
      <c r="I36" s="63"/>
      <c r="J36" s="64"/>
      <c r="K36" s="64"/>
      <c r="L36" s="65"/>
      <c r="M36" s="65"/>
      <c r="N36" s="65"/>
    </row>
    <row r="37" spans="1:14" ht="15">
      <c r="A37" s="34" t="s">
        <v>76</v>
      </c>
      <c r="H37" s="55"/>
      <c r="I37" s="45"/>
      <c r="J37" s="45"/>
      <c r="K37" s="45"/>
      <c r="L37" s="45"/>
      <c r="M37" s="45"/>
      <c r="N37" s="67"/>
    </row>
    <row r="38" spans="1:14" ht="18.75">
      <c r="A38" s="38" t="s">
        <v>108</v>
      </c>
      <c r="B38" s="58" t="s">
        <v>109</v>
      </c>
      <c r="C38" s="68">
        <f>C30*Standards!J4</f>
        <v>1859.76</v>
      </c>
      <c r="H38" s="55"/>
      <c r="I38" s="45"/>
      <c r="J38" s="45"/>
      <c r="K38" s="45"/>
      <c r="L38" s="45"/>
      <c r="M38" s="45"/>
      <c r="N38" s="45"/>
    </row>
    <row r="39" spans="1:3" ht="18.75">
      <c r="A39" s="38" t="s">
        <v>110</v>
      </c>
      <c r="B39" s="58" t="s">
        <v>111</v>
      </c>
      <c r="C39" s="68">
        <f>C31*Standards!K4</f>
        <v>0</v>
      </c>
    </row>
    <row r="40" spans="1:3" ht="18.75">
      <c r="A40" s="38" t="s">
        <v>112</v>
      </c>
      <c r="B40" s="58" t="s">
        <v>113</v>
      </c>
      <c r="C40" s="68">
        <f>C19*Standards!L4</f>
        <v>0</v>
      </c>
    </row>
    <row r="41" ht="15">
      <c r="C41" s="44"/>
    </row>
    <row r="42" spans="1:7" ht="12.75" customHeight="1">
      <c r="A42" s="151" t="s">
        <v>114</v>
      </c>
      <c r="B42" s="151"/>
      <c r="C42" s="151"/>
      <c r="D42" s="151"/>
      <c r="E42" s="151"/>
      <c r="F42" s="151"/>
      <c r="G42" s="151"/>
    </row>
    <row r="43" ht="15">
      <c r="A43" s="34" t="s">
        <v>86</v>
      </c>
    </row>
    <row r="44" spans="2:3" ht="15">
      <c r="B44" s="30" t="s">
        <v>115</v>
      </c>
      <c r="C44" s="36">
        <f>Number_of_livestock*Standards!E4*C27/100</f>
        <v>0</v>
      </c>
    </row>
    <row r="45" spans="2:3" ht="18">
      <c r="B45" s="69" t="s">
        <v>116</v>
      </c>
      <c r="C45" s="36">
        <f>Number_of_livestock*Standards!F4*C27/100</f>
        <v>0</v>
      </c>
    </row>
    <row r="46" spans="2:3" ht="18.75">
      <c r="B46" s="58" t="s">
        <v>117</v>
      </c>
      <c r="C46" s="45">
        <v>0.0067</v>
      </c>
    </row>
    <row r="47" ht="15">
      <c r="B47" s="58"/>
    </row>
    <row r="48" spans="1:2" ht="15">
      <c r="A48" s="34" t="s">
        <v>76</v>
      </c>
      <c r="B48" s="58"/>
    </row>
    <row r="49" spans="1:5" ht="18.75">
      <c r="A49" s="38" t="s">
        <v>118</v>
      </c>
      <c r="B49" s="58" t="s">
        <v>119</v>
      </c>
      <c r="C49" s="59">
        <f>C31-(C39+(C44*C46))</f>
        <v>0</v>
      </c>
      <c r="E49" s="70"/>
    </row>
    <row r="50" spans="1:3" ht="18.75">
      <c r="A50" s="43" t="s">
        <v>120</v>
      </c>
      <c r="B50" s="58" t="s">
        <v>121</v>
      </c>
      <c r="C50" s="59">
        <f>F31-C39+C45</f>
        <v>0</v>
      </c>
    </row>
    <row r="51" spans="1:5" ht="15">
      <c r="A51" s="71" t="s">
        <v>84</v>
      </c>
      <c r="C51" s="72">
        <f>(C45+C12*C27/100)-(C39+C50)</f>
        <v>0</v>
      </c>
      <c r="D51" s="73"/>
      <c r="E51" s="74"/>
    </row>
    <row r="52" ht="15">
      <c r="A52" s="31"/>
    </row>
    <row r="53" spans="1:7" ht="12.75" customHeight="1">
      <c r="A53" s="149" t="s">
        <v>122</v>
      </c>
      <c r="B53" s="149"/>
      <c r="C53" s="149"/>
      <c r="D53" s="149"/>
      <c r="E53" s="149"/>
      <c r="F53" s="149"/>
      <c r="G53" s="149"/>
    </row>
    <row r="54" spans="2:8" ht="18.75">
      <c r="B54" s="58" t="s">
        <v>123</v>
      </c>
      <c r="C54" s="51">
        <v>1</v>
      </c>
      <c r="E54" s="150" t="s">
        <v>124</v>
      </c>
      <c r="G54" s="75"/>
      <c r="H54" s="55"/>
    </row>
    <row r="55" spans="2:8" ht="18.75">
      <c r="B55" s="58" t="s">
        <v>125</v>
      </c>
      <c r="C55" s="51">
        <v>0</v>
      </c>
      <c r="E55" s="150"/>
      <c r="G55" s="75"/>
      <c r="H55" s="55"/>
    </row>
    <row r="56" spans="1:8" ht="15">
      <c r="A56" s="34" t="s">
        <v>76</v>
      </c>
      <c r="B56" s="76"/>
      <c r="C56" s="45"/>
      <c r="G56" s="75"/>
      <c r="H56" s="55"/>
    </row>
    <row r="57" spans="1:8" ht="18.75">
      <c r="A57" s="38" t="s">
        <v>126</v>
      </c>
      <c r="B57" s="58" t="s">
        <v>127</v>
      </c>
      <c r="C57" s="59">
        <f>((C30+C19)-(C38+C40))*C54</f>
        <v>7439.039999999999</v>
      </c>
      <c r="G57" s="75"/>
      <c r="H57" s="55"/>
    </row>
    <row r="58" spans="1:7" ht="18.75">
      <c r="A58" s="43" t="s">
        <v>128</v>
      </c>
      <c r="B58" s="58" t="s">
        <v>129</v>
      </c>
      <c r="C58" s="59">
        <f>((F30-C38)+(E19-C40))*C54</f>
        <v>13638.24</v>
      </c>
      <c r="G58" s="77"/>
    </row>
    <row r="59" spans="1:7" ht="18.75">
      <c r="A59" s="38" t="s">
        <v>130</v>
      </c>
      <c r="B59" s="58" t="s">
        <v>131</v>
      </c>
      <c r="C59" s="59">
        <f>C49*C55</f>
        <v>0</v>
      </c>
      <c r="G59" s="77"/>
    </row>
    <row r="60" spans="1:7" ht="18.75">
      <c r="A60" s="43" t="s">
        <v>132</v>
      </c>
      <c r="B60" s="58" t="s">
        <v>133</v>
      </c>
      <c r="C60" s="59">
        <f>C50*C55</f>
        <v>0</v>
      </c>
      <c r="G60" s="77"/>
    </row>
    <row r="61" spans="1:7" ht="15">
      <c r="A61" s="45"/>
      <c r="B61" s="58"/>
      <c r="C61" s="59"/>
      <c r="G61" s="77"/>
    </row>
    <row r="62" spans="1:7" ht="57.75">
      <c r="A62" s="76" t="s">
        <v>134</v>
      </c>
      <c r="B62" s="58"/>
      <c r="C62" s="59"/>
      <c r="G62" s="77"/>
    </row>
    <row r="63" spans="1:7" ht="18.75">
      <c r="A63" s="38" t="s">
        <v>135</v>
      </c>
      <c r="B63" s="58" t="s">
        <v>136</v>
      </c>
      <c r="C63" s="59">
        <f>((C30+C19)-(C38+C40))*(1-C54)</f>
        <v>0</v>
      </c>
      <c r="G63" s="77"/>
    </row>
    <row r="64" spans="1:7" ht="18.75">
      <c r="A64" s="43" t="s">
        <v>137</v>
      </c>
      <c r="B64" s="58" t="s">
        <v>138</v>
      </c>
      <c r="C64" s="59">
        <f>((F30-C38)+(E19-C40))*(1-C54)</f>
        <v>0</v>
      </c>
      <c r="G64" s="77"/>
    </row>
    <row r="65" spans="1:7" ht="18.75">
      <c r="A65" s="38" t="s">
        <v>139</v>
      </c>
      <c r="B65" s="58" t="s">
        <v>140</v>
      </c>
      <c r="C65" s="59">
        <f>C49*(1-C55)</f>
        <v>0</v>
      </c>
      <c r="G65" s="77"/>
    </row>
    <row r="66" spans="1:7" ht="18.75">
      <c r="A66" s="43" t="s">
        <v>141</v>
      </c>
      <c r="B66" s="58" t="s">
        <v>142</v>
      </c>
      <c r="C66" s="59">
        <f>C50*(1-C55)</f>
        <v>0</v>
      </c>
      <c r="G66" s="77"/>
    </row>
    <row r="67" spans="1:7" ht="15">
      <c r="A67" s="45"/>
      <c r="B67" s="58"/>
      <c r="C67" s="59"/>
      <c r="G67" s="77"/>
    </row>
    <row r="68" spans="1:8" s="33" customFormat="1" ht="12.75" customHeight="1">
      <c r="A68" s="151" t="s">
        <v>143</v>
      </c>
      <c r="B68" s="151"/>
      <c r="C68" s="151"/>
      <c r="D68" s="151"/>
      <c r="E68" s="151"/>
      <c r="F68" s="151"/>
      <c r="G68" s="151"/>
      <c r="H68" s="42"/>
    </row>
    <row r="69" ht="15">
      <c r="A69" s="34" t="s">
        <v>86</v>
      </c>
    </row>
    <row r="70" spans="2:4" ht="18.75">
      <c r="B70" s="31" t="s">
        <v>144</v>
      </c>
      <c r="C70" s="45">
        <v>0.1</v>
      </c>
      <c r="D70" s="31" t="s">
        <v>145</v>
      </c>
    </row>
    <row r="72" spans="1:7" ht="15">
      <c r="A72" s="34" t="s">
        <v>76</v>
      </c>
      <c r="G72" s="71"/>
    </row>
    <row r="73" spans="1:3" ht="18.75">
      <c r="A73" s="38" t="s">
        <v>146</v>
      </c>
      <c r="B73" s="58" t="s">
        <v>147</v>
      </c>
      <c r="C73" s="78">
        <f>C57+((C58-C57)*C70)</f>
        <v>8058.959999999999</v>
      </c>
    </row>
    <row r="74" spans="2:3" ht="15">
      <c r="B74" s="58"/>
      <c r="C74" s="44"/>
    </row>
    <row r="75" spans="1:8" s="33" customFormat="1" ht="12.75" customHeight="1">
      <c r="A75" s="151" t="s">
        <v>148</v>
      </c>
      <c r="B75" s="151"/>
      <c r="C75" s="151"/>
      <c r="D75" s="151"/>
      <c r="E75" s="151"/>
      <c r="F75" s="151"/>
      <c r="G75" s="151"/>
      <c r="H75" s="42"/>
    </row>
    <row r="77" ht="15">
      <c r="A77" s="34" t="s">
        <v>76</v>
      </c>
    </row>
    <row r="78" spans="1:3" ht="18.75">
      <c r="A78" s="38" t="s">
        <v>149</v>
      </c>
      <c r="B78" s="58" t="s">
        <v>150</v>
      </c>
      <c r="C78" s="79">
        <f>$C$73*Standards!M4</f>
        <v>1611.792</v>
      </c>
    </row>
    <row r="79" spans="1:3" ht="18.75">
      <c r="A79" s="38" t="s">
        <v>149</v>
      </c>
      <c r="B79" s="58" t="s">
        <v>151</v>
      </c>
      <c r="C79" s="79">
        <f>$C$73*Standards!O4</f>
        <v>80.58959999999999</v>
      </c>
    </row>
    <row r="80" spans="1:3" ht="18.75">
      <c r="A80" s="38" t="s">
        <v>149</v>
      </c>
      <c r="B80" s="58" t="s">
        <v>152</v>
      </c>
      <c r="C80" s="79">
        <f>$C$73*Standards!Q4</f>
        <v>0.805896</v>
      </c>
    </row>
    <row r="81" spans="1:3" ht="18.75">
      <c r="A81" s="38" t="s">
        <v>149</v>
      </c>
      <c r="B81" s="58" t="s">
        <v>153</v>
      </c>
      <c r="C81" s="79">
        <f>$C$73*Standards!S4</f>
        <v>24.176879999999997</v>
      </c>
    </row>
    <row r="82" spans="1:3" ht="18.75">
      <c r="A82" s="38" t="s">
        <v>154</v>
      </c>
      <c r="B82" s="58" t="s">
        <v>155</v>
      </c>
      <c r="C82" s="79">
        <f>$C$59*Standards!N4</f>
        <v>0</v>
      </c>
    </row>
    <row r="83" spans="1:3" ht="18.75">
      <c r="A83" s="38" t="s">
        <v>154</v>
      </c>
      <c r="B83" s="58" t="s">
        <v>156</v>
      </c>
      <c r="C83" s="79">
        <f>$C$59*Standards!P4</f>
        <v>0</v>
      </c>
    </row>
    <row r="84" spans="1:3" ht="18.75">
      <c r="A84" s="38" t="s">
        <v>154</v>
      </c>
      <c r="B84" s="58" t="s">
        <v>157</v>
      </c>
      <c r="C84" s="79">
        <f>$C$59*Standards!R4</f>
        <v>0</v>
      </c>
    </row>
    <row r="85" spans="1:3" ht="18.75">
      <c r="A85" s="38" t="s">
        <v>154</v>
      </c>
      <c r="B85" s="58" t="s">
        <v>158</v>
      </c>
      <c r="C85" s="79">
        <f>$C$59*Standards!T4</f>
        <v>0</v>
      </c>
    </row>
    <row r="88" spans="1:7" ht="12.75" customHeight="1">
      <c r="A88" s="149" t="s">
        <v>159</v>
      </c>
      <c r="B88" s="149"/>
      <c r="C88" s="149"/>
      <c r="D88" s="149"/>
      <c r="E88" s="149"/>
      <c r="F88" s="149"/>
      <c r="G88" s="149"/>
    </row>
    <row r="89" spans="1:9" ht="15">
      <c r="A89" s="34" t="s">
        <v>76</v>
      </c>
      <c r="D89" s="80" t="s">
        <v>160</v>
      </c>
      <c r="F89" s="45"/>
      <c r="G89" s="80" t="s">
        <v>160</v>
      </c>
      <c r="I89" s="45"/>
    </row>
    <row r="90" spans="1:9" ht="18.75">
      <c r="A90" s="38" t="s">
        <v>161</v>
      </c>
      <c r="B90" s="58" t="s">
        <v>162</v>
      </c>
      <c r="C90" s="70">
        <f>(C63+C73)-(C78+C79+C80+C81)</f>
        <v>6341.595624</v>
      </c>
      <c r="D90" s="81">
        <f>C90*100/C91</f>
        <v>53.197397775316304</v>
      </c>
      <c r="F90" s="59">
        <f>(C30+C19+((C58-C57)*C70))-(C38+C40+C78+C79+C80+C81)</f>
        <v>6341.595624</v>
      </c>
      <c r="G90" s="81">
        <f>F90*100/F91</f>
        <v>53.197397775316304</v>
      </c>
      <c r="I90" s="45"/>
    </row>
    <row r="91" spans="1:9" ht="18.75">
      <c r="A91" s="43" t="s">
        <v>163</v>
      </c>
      <c r="B91" s="58" t="s">
        <v>164</v>
      </c>
      <c r="C91" s="70">
        <f>(C64+C58)-(C78+C79+C80+C81)</f>
        <v>11920.875624</v>
      </c>
      <c r="D91" s="82"/>
      <c r="E91" s="58"/>
      <c r="F91" s="59">
        <f>(F30+E19)-(C38+C40+C78+C79+C80+C81)</f>
        <v>11920.875624</v>
      </c>
      <c r="G91" s="81"/>
      <c r="I91" s="45"/>
    </row>
    <row r="92" spans="1:9" ht="18.75">
      <c r="A92" s="38" t="s">
        <v>165</v>
      </c>
      <c r="B92" s="58" t="s">
        <v>166</v>
      </c>
      <c r="C92" s="79">
        <f>$C$59*Standards!U4</f>
        <v>0</v>
      </c>
      <c r="I92" s="45"/>
    </row>
    <row r="93" spans="1:9" ht="18.75">
      <c r="A93" s="38" t="s">
        <v>167</v>
      </c>
      <c r="B93" s="58" t="s">
        <v>168</v>
      </c>
      <c r="C93" s="70">
        <f>(C59+C65)-(C82+C83+C84+C85+C92)</f>
        <v>0</v>
      </c>
      <c r="D93" s="81">
        <f>IF(C93=0,0,C93*100/C94)</f>
        <v>0</v>
      </c>
      <c r="F93" s="70">
        <f>C49-(C82+C83+C84+C85+C92)</f>
        <v>0</v>
      </c>
      <c r="G93" s="83">
        <f>IF(F93=0,0,F93*100/(F94))</f>
        <v>0</v>
      </c>
      <c r="I93" s="45"/>
    </row>
    <row r="94" spans="1:9" ht="18.75">
      <c r="A94" s="43" t="s">
        <v>169</v>
      </c>
      <c r="B94" s="58" t="s">
        <v>170</v>
      </c>
      <c r="C94" s="70">
        <f>(C60+C66)-(C82+C83+C84+C85+C92)</f>
        <v>0</v>
      </c>
      <c r="E94" s="58"/>
      <c r="F94" s="70">
        <f>C50-(C82+C83+C84+C85+C92)</f>
        <v>0</v>
      </c>
      <c r="G94" s="84"/>
      <c r="I94" s="45"/>
    </row>
    <row r="95" spans="1:8" s="72" customFormat="1" ht="15">
      <c r="A95" s="85" t="s">
        <v>84</v>
      </c>
      <c r="B95" s="86" t="s">
        <v>171</v>
      </c>
      <c r="C95" s="41">
        <f>((C73+(((C19+C30)-(C38+C40))*(1-C54)))-(C78+C79+C80+C81))-F90</f>
        <v>0</v>
      </c>
      <c r="D95" s="41"/>
      <c r="E95" s="87"/>
      <c r="F95" s="41">
        <f>((E19+(E20*C26/100))-(C38+C40+C78+C79+C80+C81))-F91</f>
        <v>0</v>
      </c>
      <c r="G95" s="61"/>
      <c r="H95" s="88"/>
    </row>
    <row r="96" spans="1:9" s="90" customFormat="1" ht="15">
      <c r="A96" s="62"/>
      <c r="B96" s="89" t="s">
        <v>172</v>
      </c>
      <c r="C96" s="41">
        <f>(C31-((C44*C46)+C39+C82+C83+C84+C85+C92))-F93</f>
        <v>0</v>
      </c>
      <c r="D96" s="77"/>
      <c r="E96" s="77"/>
      <c r="F96" s="41">
        <f>(F31+C45)-(C39+C82+C83+C84+C85+C92)-F94</f>
        <v>0</v>
      </c>
      <c r="H96" s="62"/>
      <c r="I96" s="91"/>
    </row>
    <row r="97" ht="15">
      <c r="I97" s="45"/>
    </row>
    <row r="98" spans="1:9" ht="12.75" customHeight="1">
      <c r="A98" s="149" t="s">
        <v>173</v>
      </c>
      <c r="B98" s="149"/>
      <c r="C98" s="149"/>
      <c r="D98" s="149"/>
      <c r="E98" s="149"/>
      <c r="F98" s="149"/>
      <c r="G98" s="149"/>
      <c r="I98" s="45"/>
    </row>
    <row r="99" ht="15"/>
    <row r="100" ht="15">
      <c r="A100" s="34" t="s">
        <v>76</v>
      </c>
    </row>
    <row r="101" spans="1:3" ht="19.5">
      <c r="A101" s="43" t="s">
        <v>174</v>
      </c>
      <c r="B101" s="92" t="s">
        <v>175</v>
      </c>
      <c r="C101" s="93">
        <f>F90*Standards!V4</f>
        <v>3487.8775932</v>
      </c>
    </row>
    <row r="102" spans="1:3" ht="19.5">
      <c r="A102" s="43" t="s">
        <v>176</v>
      </c>
      <c r="B102" s="92" t="s">
        <v>177</v>
      </c>
      <c r="C102" s="93">
        <f>F93*Standards!W4</f>
        <v>0</v>
      </c>
    </row>
    <row r="103" ht="15">
      <c r="A103" s="31"/>
    </row>
    <row r="105" spans="1:7" ht="12.75" customHeight="1">
      <c r="A105" s="149" t="s">
        <v>178</v>
      </c>
      <c r="B105" s="149"/>
      <c r="C105" s="149"/>
      <c r="D105" s="149"/>
      <c r="E105" s="149"/>
      <c r="F105" s="149"/>
      <c r="G105" s="149"/>
    </row>
    <row r="106" ht="15">
      <c r="A106" s="34" t="s">
        <v>76</v>
      </c>
    </row>
    <row r="108" spans="1:3" ht="18.75">
      <c r="A108" s="38" t="s">
        <v>179</v>
      </c>
      <c r="B108" s="58" t="s">
        <v>180</v>
      </c>
      <c r="C108" s="44">
        <f>F90-C101</f>
        <v>2853.7180307999997</v>
      </c>
    </row>
    <row r="109" spans="1:6" ht="18.75">
      <c r="A109" s="43" t="s">
        <v>181</v>
      </c>
      <c r="B109" s="58" t="s">
        <v>182</v>
      </c>
      <c r="C109" s="60">
        <f>F91-C101</f>
        <v>8432.998030800001</v>
      </c>
      <c r="E109" s="58"/>
      <c r="F109" s="44"/>
    </row>
    <row r="110" spans="1:3" ht="18.75">
      <c r="A110" s="38" t="s">
        <v>183</v>
      </c>
      <c r="B110" s="58" t="s">
        <v>184</v>
      </c>
      <c r="C110" s="60">
        <f>F93-C102</f>
        <v>0</v>
      </c>
    </row>
    <row r="111" spans="1:3" ht="18.75">
      <c r="A111" s="43" t="s">
        <v>185</v>
      </c>
      <c r="B111" s="58" t="s">
        <v>186</v>
      </c>
      <c r="C111" s="60">
        <f>F94-C102</f>
        <v>0</v>
      </c>
    </row>
    <row r="113" spans="1:7" ht="12.75" customHeight="1">
      <c r="A113" s="149" t="s">
        <v>187</v>
      </c>
      <c r="B113" s="149"/>
      <c r="C113" s="149"/>
      <c r="D113" s="149"/>
      <c r="E113" s="149"/>
      <c r="F113" s="149"/>
      <c r="G113" s="149"/>
    </row>
    <row r="114" ht="15">
      <c r="A114" s="34" t="s">
        <v>76</v>
      </c>
    </row>
    <row r="115" spans="1:3" ht="18.75">
      <c r="A115" s="38" t="s">
        <v>188</v>
      </c>
      <c r="B115" s="58" t="s">
        <v>189</v>
      </c>
      <c r="C115" s="94">
        <f>C18*Standards!X4</f>
        <v>0</v>
      </c>
    </row>
    <row r="116" spans="1:6" ht="28.5">
      <c r="A116" s="30" t="s">
        <v>190</v>
      </c>
      <c r="B116" s="31" t="s">
        <v>191</v>
      </c>
      <c r="C116" s="44">
        <f>C18-C115</f>
        <v>0</v>
      </c>
      <c r="E116" s="31" t="s">
        <v>192</v>
      </c>
      <c r="F116" s="60">
        <f>E18-C115</f>
        <v>0</v>
      </c>
    </row>
    <row r="117" spans="1:8" s="71" customFormat="1" ht="15">
      <c r="A117" s="40" t="s">
        <v>84</v>
      </c>
      <c r="C117" s="95">
        <f>C18-C116-C115</f>
        <v>0</v>
      </c>
      <c r="D117" s="95"/>
      <c r="E117" s="95"/>
      <c r="F117" s="41">
        <f>(E18-C115)-F116</f>
        <v>0</v>
      </c>
      <c r="H117" s="62"/>
    </row>
    <row r="118" ht="15"/>
    <row r="119" spans="1:3" ht="15">
      <c r="A119" s="31" t="s">
        <v>193</v>
      </c>
      <c r="C119" s="37">
        <f>C13+C45</f>
        <v>15498</v>
      </c>
    </row>
    <row r="120" spans="1:3" ht="15">
      <c r="A120" s="31" t="s">
        <v>194</v>
      </c>
      <c r="C120" s="37">
        <f>(C38+C39+C40+C78+C79+C80+C81+C82+C83+C84+C85+C92+C101+C102+C115)+(C109+C111+F116)</f>
        <v>15498</v>
      </c>
    </row>
    <row r="121" spans="1:3" ht="15">
      <c r="A121" s="40" t="s">
        <v>195</v>
      </c>
      <c r="C121" s="95">
        <f>C119-C120</f>
        <v>0</v>
      </c>
    </row>
    <row r="122" ht="15">
      <c r="C122" s="37"/>
    </row>
    <row r="123" ht="15">
      <c r="C123" s="37"/>
    </row>
  </sheetData>
  <sheetProtection selectLockedCells="1" selectUnlockedCells="1"/>
  <mergeCells count="13">
    <mergeCell ref="A1:G1"/>
    <mergeCell ref="A16:G16"/>
    <mergeCell ref="A24:G24"/>
    <mergeCell ref="A35:G35"/>
    <mergeCell ref="A42:G42"/>
    <mergeCell ref="A53:G53"/>
    <mergeCell ref="A113:G113"/>
    <mergeCell ref="E54:E55"/>
    <mergeCell ref="A68:G68"/>
    <mergeCell ref="A75:G75"/>
    <mergeCell ref="A88:G88"/>
    <mergeCell ref="A98:G98"/>
    <mergeCell ref="A105:G105"/>
  </mergeCells>
  <printOptions/>
  <pageMargins left="0.5902777777777778" right="0.2361111111111111" top="0.6298611111111111" bottom="0.6298611111111111" header="0.15763888888888888" footer="0.15763888888888888"/>
  <pageSetup firstPageNumber="49" useFirstPageNumber="1" horizontalDpi="300" verticalDpi="300" orientation="portrait" paperSize="9" r:id="rId3"/>
  <headerFooter alignWithMargins="0">
    <oddHeader xml:space="preserve">&amp;L3 PRIEDAS_. Amoniako, N2O, NO taršos įvertinimas iš 13-1 tvarto (kiti galvijai)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7">
      <selection activeCell="F37" sqref="F37"/>
    </sheetView>
  </sheetViews>
  <sheetFormatPr defaultColWidth="9.140625" defaultRowHeight="12.75"/>
  <cols>
    <col min="1" max="1" width="30.7109375" style="96" customWidth="1"/>
    <col min="2" max="2" width="10.7109375" style="96" customWidth="1"/>
    <col min="3" max="3" width="9.8515625" style="96" customWidth="1"/>
    <col min="4" max="4" width="10.7109375" style="96" customWidth="1"/>
    <col min="5" max="5" width="10.00390625" style="96" customWidth="1"/>
    <col min="6" max="6" width="14.140625" style="96" customWidth="1"/>
    <col min="7" max="7" width="9.421875" style="96" customWidth="1"/>
  </cols>
  <sheetData>
    <row r="1" spans="1:7" ht="15">
      <c r="A1" s="46" t="s">
        <v>196</v>
      </c>
      <c r="B1" s="47"/>
      <c r="C1" s="47"/>
      <c r="D1" s="47"/>
      <c r="E1" s="47"/>
      <c r="F1" s="47"/>
      <c r="G1" s="47"/>
    </row>
    <row r="2" spans="1:7" ht="15">
      <c r="A2" s="46"/>
      <c r="B2" s="97" t="s">
        <v>197</v>
      </c>
      <c r="C2" s="97"/>
      <c r="D2" s="97"/>
      <c r="E2" s="97"/>
      <c r="F2" s="47"/>
      <c r="G2" s="47"/>
    </row>
    <row r="3" spans="1:7" ht="30" customHeight="1">
      <c r="A3" s="98" t="s">
        <v>198</v>
      </c>
      <c r="B3" s="98" t="s">
        <v>199</v>
      </c>
      <c r="C3" s="98" t="s">
        <v>200</v>
      </c>
      <c r="D3" s="99" t="s">
        <v>201</v>
      </c>
      <c r="E3" s="98" t="s">
        <v>202</v>
      </c>
      <c r="F3" s="98" t="s">
        <v>203</v>
      </c>
      <c r="G3" s="100"/>
    </row>
    <row r="4" spans="1:7" ht="22.5" customHeight="1">
      <c r="A4" s="101" t="s">
        <v>204</v>
      </c>
      <c r="B4" s="102">
        <f>'Dairy example'!C38*17/14</f>
        <v>2258.2799999999997</v>
      </c>
      <c r="C4" s="103"/>
      <c r="D4" s="103"/>
      <c r="E4" s="103"/>
      <c r="F4" s="104"/>
      <c r="G4" s="105"/>
    </row>
    <row r="5" spans="1:7" ht="22.5" customHeight="1">
      <c r="A5" s="101" t="s">
        <v>205</v>
      </c>
      <c r="B5" s="106">
        <f>'Dairy example'!C39*17/14</f>
        <v>0</v>
      </c>
      <c r="C5" s="107"/>
      <c r="D5" s="107"/>
      <c r="E5" s="107"/>
      <c r="F5" s="108"/>
      <c r="G5" s="105"/>
    </row>
    <row r="6" spans="1:7" ht="22.5" customHeight="1">
      <c r="A6" s="101" t="s">
        <v>206</v>
      </c>
      <c r="B6" s="106">
        <f>'Dairy example'!C40*17/14</f>
        <v>0</v>
      </c>
      <c r="C6" s="107"/>
      <c r="D6" s="107"/>
      <c r="E6" s="107"/>
      <c r="F6" s="108"/>
      <c r="G6" s="105"/>
    </row>
    <row r="7" spans="1:7" ht="22.5" customHeight="1">
      <c r="A7" s="101" t="s">
        <v>207</v>
      </c>
      <c r="B7" s="106">
        <f>'Dairy example'!C78*17/14</f>
        <v>1957.176</v>
      </c>
      <c r="C7" s="109">
        <f>'Dairy example'!C79*44/28</f>
        <v>126.64079999999998</v>
      </c>
      <c r="D7" s="109">
        <f>'Dairy example'!C80*30/14</f>
        <v>1.7269199999999998</v>
      </c>
      <c r="E7" s="106">
        <f>'Dairy example'!C81</f>
        <v>24.176879999999997</v>
      </c>
      <c r="F7" s="108"/>
      <c r="G7" s="105"/>
    </row>
    <row r="8" spans="1:7" ht="22.5" customHeight="1">
      <c r="A8" s="101" t="s">
        <v>208</v>
      </c>
      <c r="B8" s="106">
        <f>'Dairy example'!C82*17/14</f>
        <v>0</v>
      </c>
      <c r="C8" s="109">
        <f>'Dairy example'!C83*44/28</f>
        <v>0</v>
      </c>
      <c r="D8" s="109">
        <f>'Dairy example'!C84*30/14</f>
        <v>0</v>
      </c>
      <c r="E8" s="106">
        <f>'Dairy example'!C85</f>
        <v>0</v>
      </c>
      <c r="F8" s="106">
        <f>'Dairy example'!C92*62/14</f>
        <v>0</v>
      </c>
      <c r="G8" s="105"/>
    </row>
    <row r="9" spans="1:7" ht="22.5" customHeight="1">
      <c r="A9" s="101" t="s">
        <v>209</v>
      </c>
      <c r="B9" s="106">
        <f>'Dairy example'!C101*17/14</f>
        <v>4235.2799346</v>
      </c>
      <c r="C9" s="107"/>
      <c r="D9" s="107"/>
      <c r="E9" s="107"/>
      <c r="F9" s="108"/>
      <c r="G9" s="105"/>
    </row>
    <row r="10" spans="1:7" ht="22.5" customHeight="1">
      <c r="A10" s="101" t="s">
        <v>210</v>
      </c>
      <c r="B10" s="106">
        <f>'Dairy example'!C102*17/14</f>
        <v>0</v>
      </c>
      <c r="C10" s="107"/>
      <c r="D10" s="107"/>
      <c r="E10" s="107"/>
      <c r="F10" s="108"/>
      <c r="G10" s="105"/>
    </row>
    <row r="11" spans="1:7" ht="22.5" customHeight="1">
      <c r="A11" s="101" t="s">
        <v>211</v>
      </c>
      <c r="B11" s="110">
        <f>'Dairy example'!C115*17/14</f>
        <v>0</v>
      </c>
      <c r="C11" s="111"/>
      <c r="D11" s="111"/>
      <c r="E11" s="111"/>
      <c r="F11" s="112"/>
      <c r="G11" s="105"/>
    </row>
    <row r="12" spans="1:7" ht="5.25" customHeight="1">
      <c r="A12" s="113"/>
      <c r="B12" s="114"/>
      <c r="C12" s="100"/>
      <c r="D12" s="100"/>
      <c r="E12" s="100"/>
      <c r="F12" s="115"/>
      <c r="G12" s="115"/>
    </row>
    <row r="13" spans="1:7" ht="16.5" customHeight="1">
      <c r="A13" s="116" t="s">
        <v>83</v>
      </c>
      <c r="B13" s="117">
        <f>SUM(B4:B11)</f>
        <v>8450.735934600001</v>
      </c>
      <c r="C13" s="118">
        <f>SUM(C4:C11)</f>
        <v>126.64079999999998</v>
      </c>
      <c r="D13" s="118">
        <f>SUM(D4:D11)</f>
        <v>1.7269199999999998</v>
      </c>
      <c r="E13" s="119">
        <f>SUM(E4:E11)</f>
        <v>24.176879999999997</v>
      </c>
      <c r="F13" s="119">
        <f>SUM(F4:F11)</f>
        <v>0</v>
      </c>
      <c r="G13" s="120"/>
    </row>
    <row r="14" spans="1:7" ht="14.25" customHeight="1">
      <c r="A14" s="121"/>
      <c r="B14" s="122"/>
      <c r="C14" s="123"/>
      <c r="D14" s="123"/>
      <c r="E14" s="124"/>
      <c r="F14" s="124"/>
      <c r="G14" s="120"/>
    </row>
    <row r="15" spans="1:7" ht="16.5">
      <c r="A15" s="125" t="s">
        <v>230</v>
      </c>
      <c r="B15" s="126"/>
      <c r="C15" s="127"/>
      <c r="D15" s="127"/>
      <c r="E15" s="128"/>
      <c r="F15" s="128"/>
      <c r="G15" s="65"/>
    </row>
    <row r="16" spans="1:7" ht="30">
      <c r="A16" s="129" t="s">
        <v>226</v>
      </c>
      <c r="B16" s="130">
        <f>Number_of_livestock</f>
        <v>378</v>
      </c>
      <c r="C16" s="130">
        <f>Number_of_livestock</f>
        <v>378</v>
      </c>
      <c r="D16" s="130">
        <f>Number_of_livestock</f>
        <v>378</v>
      </c>
      <c r="E16" s="130">
        <f>Number_of_livestock</f>
        <v>378</v>
      </c>
      <c r="F16" s="130">
        <f>Number_of_livestock</f>
        <v>378</v>
      </c>
      <c r="G16" s="131"/>
    </row>
    <row r="17" spans="1:7" ht="20.25" customHeight="1">
      <c r="A17" s="129" t="s">
        <v>212</v>
      </c>
      <c r="B17" s="132" t="s">
        <v>213</v>
      </c>
      <c r="C17" s="133" t="s">
        <v>214</v>
      </c>
      <c r="D17" s="133" t="s">
        <v>215</v>
      </c>
      <c r="E17" s="133" t="s">
        <v>238</v>
      </c>
      <c r="F17" s="133" t="s">
        <v>216</v>
      </c>
      <c r="G17" s="131"/>
    </row>
    <row r="18" spans="1:7" ht="31.5">
      <c r="A18" s="129" t="s">
        <v>217</v>
      </c>
      <c r="B18" s="134">
        <v>0.59</v>
      </c>
      <c r="C18" s="133">
        <v>0.27</v>
      </c>
      <c r="D18" s="133">
        <v>0.18</v>
      </c>
      <c r="E18" s="133">
        <v>8.902</v>
      </c>
      <c r="F18" s="133"/>
      <c r="G18" s="131"/>
    </row>
    <row r="19" spans="1:7" ht="54.75" customHeight="1">
      <c r="A19" s="129" t="s">
        <v>218</v>
      </c>
      <c r="B19" s="135" t="s">
        <v>219</v>
      </c>
      <c r="C19" s="135" t="s">
        <v>219</v>
      </c>
      <c r="D19" s="135" t="s">
        <v>219</v>
      </c>
      <c r="E19" s="135" t="s">
        <v>220</v>
      </c>
      <c r="F19" s="135"/>
      <c r="G19" s="45"/>
    </row>
    <row r="20" spans="1:7" ht="30">
      <c r="A20" s="129" t="s">
        <v>221</v>
      </c>
      <c r="B20" s="133">
        <v>365</v>
      </c>
      <c r="C20" s="133">
        <v>365</v>
      </c>
      <c r="D20" s="133">
        <v>365</v>
      </c>
      <c r="E20" s="133">
        <v>365</v>
      </c>
      <c r="F20" s="133">
        <v>365</v>
      </c>
      <c r="G20" s="67"/>
    </row>
    <row r="21" spans="1:7" ht="30">
      <c r="A21" s="129" t="s">
        <v>222</v>
      </c>
      <c r="B21" s="133">
        <v>1</v>
      </c>
      <c r="C21" s="133">
        <v>1</v>
      </c>
      <c r="D21" s="133">
        <v>1</v>
      </c>
      <c r="E21" s="133">
        <v>1</v>
      </c>
      <c r="F21" s="133">
        <v>1</v>
      </c>
      <c r="G21" s="45"/>
    </row>
    <row r="22" spans="1:6" ht="14.25">
      <c r="A22" s="136" t="s">
        <v>223</v>
      </c>
      <c r="B22" s="137">
        <f>B16*B18*B21</f>
        <v>223.01999999999998</v>
      </c>
      <c r="C22" s="137">
        <f>C16*C18*C21</f>
        <v>102.06</v>
      </c>
      <c r="D22" s="137">
        <f>D16*D18*D21</f>
        <v>68.03999999999999</v>
      </c>
      <c r="E22" s="137">
        <f>E16*E18*E21</f>
        <v>3364.9559999999997</v>
      </c>
      <c r="F22" s="138">
        <f>B5+B4</f>
        <v>2258.2799999999997</v>
      </c>
    </row>
    <row r="23" spans="1:6" ht="12.75">
      <c r="A23" s="136" t="s">
        <v>239</v>
      </c>
      <c r="B23" s="137"/>
      <c r="C23" s="137"/>
      <c r="D23" s="137"/>
      <c r="E23" s="137"/>
      <c r="F23" s="138">
        <f>F22/12</f>
        <v>188.18999999999997</v>
      </c>
    </row>
    <row r="24" spans="1:6" ht="12.75">
      <c r="A24" s="136"/>
      <c r="B24" s="139"/>
      <c r="C24" s="139"/>
      <c r="D24" s="139"/>
      <c r="E24" s="139"/>
      <c r="F24" s="139"/>
    </row>
    <row r="25" ht="12.75">
      <c r="A25" s="96" t="s">
        <v>224</v>
      </c>
    </row>
    <row r="26" ht="12.75">
      <c r="A26" s="96" t="s">
        <v>225</v>
      </c>
    </row>
    <row r="27" ht="12.75">
      <c r="A27" s="141" t="s">
        <v>233</v>
      </c>
    </row>
    <row r="28" spans="1:6" ht="45">
      <c r="A28" s="129" t="s">
        <v>227</v>
      </c>
      <c r="B28" s="140" t="s">
        <v>213</v>
      </c>
      <c r="C28" s="135" t="s">
        <v>214</v>
      </c>
      <c r="D28" s="135" t="s">
        <v>215</v>
      </c>
      <c r="E28" s="135" t="s">
        <v>231</v>
      </c>
      <c r="F28" s="135" t="s">
        <v>216</v>
      </c>
    </row>
    <row r="29" spans="1:6" ht="12.75">
      <c r="A29" s="96" t="s">
        <v>228</v>
      </c>
      <c r="B29" s="96">
        <v>217.71</v>
      </c>
      <c r="C29" s="96">
        <v>99.63</v>
      </c>
      <c r="D29" s="96">
        <v>66.42</v>
      </c>
      <c r="E29" s="96">
        <v>3284.838</v>
      </c>
      <c r="F29" s="96">
        <v>176.5</v>
      </c>
    </row>
    <row r="30" spans="1:6" ht="12.75">
      <c r="A30" s="96" t="s">
        <v>229</v>
      </c>
      <c r="B30" s="137">
        <f>B22</f>
        <v>223.01999999999998</v>
      </c>
      <c r="C30" s="137">
        <f>C22</f>
        <v>102.06</v>
      </c>
      <c r="D30" s="137">
        <f>D22</f>
        <v>68.03999999999999</v>
      </c>
      <c r="E30" s="137">
        <f>E22</f>
        <v>3364.9559999999997</v>
      </c>
      <c r="F30" s="138">
        <f>F23</f>
        <v>188.18999999999997</v>
      </c>
    </row>
    <row r="31" spans="1:6" ht="12.75">
      <c r="A31" s="141" t="s">
        <v>232</v>
      </c>
      <c r="B31" s="141">
        <f>SUM(B29:B30)</f>
        <v>440.73</v>
      </c>
      <c r="C31" s="141">
        <f>SUM(C29:C30)</f>
        <v>201.69</v>
      </c>
      <c r="D31" s="141">
        <f>SUM(D29:D30)</f>
        <v>134.45999999999998</v>
      </c>
      <c r="E31" s="141">
        <f>SUM(E29:E30)</f>
        <v>6649.794</v>
      </c>
      <c r="F31" s="148">
        <f>SUM(F29:F30)</f>
        <v>364.68999999999994</v>
      </c>
    </row>
    <row r="32" spans="1:6" ht="30">
      <c r="A32" s="129" t="s">
        <v>221</v>
      </c>
      <c r="B32" s="133">
        <v>365</v>
      </c>
      <c r="C32" s="133">
        <v>365</v>
      </c>
      <c r="D32" s="133">
        <v>365</v>
      </c>
      <c r="E32" s="133">
        <v>365</v>
      </c>
      <c r="F32" s="133">
        <v>365</v>
      </c>
    </row>
    <row r="34" ht="12.75">
      <c r="A34" s="96" t="s">
        <v>236</v>
      </c>
    </row>
    <row r="35" spans="2:6" ht="20.25" customHeight="1">
      <c r="B35" s="140" t="s">
        <v>213</v>
      </c>
      <c r="C35" s="135" t="s">
        <v>214</v>
      </c>
      <c r="D35" s="135" t="s">
        <v>215</v>
      </c>
      <c r="E35" s="135" t="s">
        <v>235</v>
      </c>
      <c r="F35" s="135" t="s">
        <v>216</v>
      </c>
    </row>
    <row r="36" spans="1:6" ht="15">
      <c r="A36" s="147" t="s">
        <v>234</v>
      </c>
      <c r="B36" s="142">
        <f>B31/9</f>
        <v>48.97</v>
      </c>
      <c r="C36" s="142">
        <f>C31/9</f>
        <v>22.41</v>
      </c>
      <c r="D36" s="142">
        <f>D31/9</f>
        <v>14.939999999999998</v>
      </c>
      <c r="E36" s="142">
        <f>E31/9</f>
        <v>738.866</v>
      </c>
      <c r="F36" s="143">
        <f>F31/9</f>
        <v>40.521111111111104</v>
      </c>
    </row>
    <row r="37" spans="1:6" ht="18.75">
      <c r="A37" s="144" t="s">
        <v>237</v>
      </c>
      <c r="B37" s="145">
        <f>B36*1000/365/24/3600</f>
        <v>0.0015528285134449517</v>
      </c>
      <c r="C37" s="145">
        <f>C36*1000/365/24/3600</f>
        <v>0.0007106164383561644</v>
      </c>
      <c r="D37" s="145">
        <f>D36*1000/365/24/3600</f>
        <v>0.00047374429223744286</v>
      </c>
      <c r="E37" s="145">
        <f>E36*1000/365/24/3600</f>
        <v>0.023429287163876208</v>
      </c>
      <c r="F37" s="146">
        <f>F36*1000/365/24/3600</f>
        <v>0.001284916004284345</v>
      </c>
    </row>
  </sheetData>
  <sheetProtection selectLockedCells="1" selectUnlockedCells="1"/>
  <printOptions/>
  <pageMargins left="0.5902777777777778" right="0.22916666666666666" top="0.6298611111111111" bottom="0.4166666666666667" header="0.15763888888888888" footer="0.15763888888888888"/>
  <pageSetup firstPageNumber="52" useFirstPageNumber="1" horizontalDpi="300" verticalDpi="300" orientation="portrait" paperSize="9" r:id="rId3"/>
  <headerFooter alignWithMargins="0">
    <oddHeader xml:space="preserve">&amp;L3 PRIEDAS_. Amoniako, N2O, NO, 
,  taršos įvertinimas iš 13-1 tvarto (kiti galvijai, laikomi ant skysto mėšlo)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2018-03-02T08:09:42Z</cp:lastPrinted>
  <dcterms:modified xsi:type="dcterms:W3CDTF">2018-03-02T08:10:47Z</dcterms:modified>
  <cp:category/>
  <cp:version/>
  <cp:contentType/>
  <cp:contentStatus/>
</cp:coreProperties>
</file>